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roman/Desktop/ТОПОВЫЕ ОБЬЕКТЫ/Кальянная Ленина 49/"/>
    </mc:Choice>
  </mc:AlternateContent>
  <xr:revisionPtr revIDLastSave="0" documentId="13_ncr:1_{C1DD09CB-AA29-9E48-8681-378F09AFA05E}" xr6:coauthVersionLast="47" xr6:coauthVersionMax="47" xr10:uidLastSave="{00000000-0000-0000-0000-000000000000}"/>
  <bookViews>
    <workbookView xWindow="0" yWindow="500" windowWidth="28800" windowHeight="1572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1" i="1" l="1"/>
  <c r="F21" i="1"/>
  <c r="D21" i="1"/>
  <c r="F20" i="1"/>
  <c r="F17" i="1"/>
  <c r="F16" i="1"/>
  <c r="F15" i="1"/>
  <c r="F14" i="1"/>
  <c r="F11" i="1"/>
  <c r="F10" i="1"/>
  <c r="F9" i="1"/>
  <c r="E20" i="1"/>
  <c r="G20" i="1"/>
  <c r="D20" i="1"/>
  <c r="D19" i="1"/>
  <c r="F19" i="1"/>
  <c r="I18" i="1"/>
  <c r="F18" i="1"/>
  <c r="K18" i="1" s="1"/>
  <c r="L18" i="1" s="1"/>
  <c r="E18" i="1"/>
  <c r="D18" i="1"/>
  <c r="K17" i="1"/>
  <c r="L17" i="1" s="1"/>
  <c r="D17" i="1"/>
  <c r="J16" i="1"/>
  <c r="K16" i="1" s="1"/>
  <c r="L16" i="1" s="1"/>
  <c r="I16" i="1"/>
  <c r="H16" i="1"/>
  <c r="G16" i="1"/>
  <c r="E16" i="1"/>
  <c r="D16" i="1"/>
  <c r="E15" i="1"/>
  <c r="D15" i="1"/>
  <c r="K15" i="1" s="1"/>
  <c r="L15" i="1" s="1"/>
  <c r="I14" i="1"/>
  <c r="G14" i="1"/>
  <c r="E14" i="1"/>
  <c r="D14" i="1"/>
  <c r="K14" i="1" s="1"/>
  <c r="L14" i="1" s="1"/>
  <c r="J13" i="1"/>
  <c r="F13" i="1"/>
  <c r="K13" i="1" s="1"/>
  <c r="L13" i="1" s="1"/>
  <c r="H12" i="1"/>
  <c r="G12" i="1"/>
  <c r="F12" i="1"/>
  <c r="E12" i="1"/>
  <c r="D12" i="1"/>
  <c r="K12" i="1" s="1"/>
  <c r="L12" i="1" s="1"/>
  <c r="H11" i="1"/>
  <c r="G11" i="1"/>
  <c r="E11" i="1"/>
  <c r="D11" i="1"/>
  <c r="K11" i="1" s="1"/>
  <c r="L11" i="1" s="1"/>
  <c r="J10" i="1"/>
  <c r="K10" i="1" s="1"/>
  <c r="L10" i="1" s="1"/>
  <c r="G10" i="1"/>
  <c r="E10" i="1"/>
  <c r="G9" i="1"/>
  <c r="E9" i="1"/>
  <c r="D9" i="1"/>
  <c r="K9" i="1" s="1"/>
  <c r="L9" i="1" s="1"/>
  <c r="K20" i="1"/>
  <c r="L20" i="1" s="1"/>
  <c r="C5" i="1"/>
  <c r="I23" i="1" l="1"/>
  <c r="C22" i="1"/>
  <c r="I22" i="1"/>
  <c r="K21" i="1"/>
  <c r="L21" i="1" s="1"/>
  <c r="K19" i="1"/>
  <c r="L19" i="1" s="1"/>
  <c r="L23" i="1" l="1"/>
  <c r="L22" i="1"/>
  <c r="K22" i="1"/>
  <c r="K23" i="1"/>
  <c r="B22" i="1"/>
  <c r="B23" i="1"/>
</calcChain>
</file>

<file path=xl/sharedStrings.xml><?xml version="1.0" encoding="utf-8"?>
<sst xmlns="http://schemas.openxmlformats.org/spreadsheetml/2006/main" count="20" uniqueCount="20">
  <si>
    <t>ИТОГО затраты</t>
  </si>
  <si>
    <t>СУММА год</t>
  </si>
  <si>
    <t>СРЕДНЕЕ год</t>
  </si>
  <si>
    <t>ПРИБЫЛЬ</t>
  </si>
  <si>
    <t>Выручка</t>
  </si>
  <si>
    <t>Затраты на персонал</t>
  </si>
  <si>
    <t>Затраты</t>
  </si>
  <si>
    <t>Стоимость бизнеса</t>
  </si>
  <si>
    <t>аренда и коммунальные платежи</t>
  </si>
  <si>
    <t>Стоимоть товарного остатка</t>
  </si>
  <si>
    <t>транспортные затраты (бензин, ремонт и пр)</t>
  </si>
  <si>
    <t>Реклама и пр</t>
  </si>
  <si>
    <t>Прочие расходы</t>
  </si>
  <si>
    <t>Прочие доходы</t>
  </si>
  <si>
    <t>МЕСЯЦ</t>
  </si>
  <si>
    <t>Налоги</t>
  </si>
  <si>
    <t>Окупаемость мес</t>
  </si>
  <si>
    <t>Стоимость оборудования</t>
  </si>
  <si>
    <t>выручка</t>
  </si>
  <si>
    <t>Материалы (товары, сырье)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</si>
</sst>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₽&quot;;[Red]#,##0\ &quot;₽&quot;"/>
    <numFmt numFmtId="165" formatCode="[$-419]mmmm\ yyyy;@"/>
  </numFmts>
  <fonts count="9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0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2" fontId="8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0" fontId="0" fillId="3" borderId="0" xfId="0" applyFill="1"/>
    <xf numFmtId="0" fontId="6" fillId="3" borderId="1" xfId="0" applyFont="1" applyFill="1" applyBorder="1"/>
    <xf numFmtId="0" fontId="0" fillId="3" borderId="1" xfId="0" applyFill="1" applyBorder="1"/>
    <xf numFmtId="9" fontId="0" fillId="3" borderId="0" xfId="145" applyFont="1" applyFill="1"/>
    <xf numFmtId="0" fontId="0" fillId="3" borderId="0" xfId="0" applyFill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2" borderId="13" xfId="0" applyNumberFormat="1" applyFont="1" applyFill="1" applyBorder="1"/>
    <xf numFmtId="3" fontId="8" fillId="4" borderId="1" xfId="192" applyNumberFormat="1" applyFill="1" applyBorder="1" applyAlignment="1" applyProtection="1">
      <alignment horizontal="center" vertical="center" wrapText="1"/>
      <protection locked="0"/>
    </xf>
    <xf numFmtId="3" fontId="2" fillId="4" borderId="2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/>
    <xf numFmtId="3" fontId="2" fillId="2" borderId="16" xfId="0" applyNumberFormat="1" applyFont="1" applyFill="1" applyBorder="1"/>
    <xf numFmtId="165" fontId="2" fillId="4" borderId="18" xfId="0" applyNumberFormat="1" applyFont="1" applyFill="1" applyBorder="1" applyAlignment="1">
      <alignment horizontal="left"/>
    </xf>
    <xf numFmtId="3" fontId="0" fillId="4" borderId="1" xfId="0" applyNumberFormat="1" applyFill="1" applyBorder="1" applyAlignment="1" applyProtection="1">
      <alignment horizontal="center" vertical="center" wrapText="1"/>
      <protection locked="0"/>
    </xf>
    <xf numFmtId="3" fontId="2" fillId="2" borderId="9" xfId="0" applyNumberFormat="1" applyFont="1" applyFill="1" applyBorder="1"/>
    <xf numFmtId="3" fontId="2" fillId="0" borderId="14" xfId="0" applyNumberFormat="1" applyFont="1" applyBorder="1" applyAlignment="1">
      <alignment horizontal="center" vertical="center" wrapText="1"/>
    </xf>
    <xf numFmtId="164" fontId="2" fillId="4" borderId="19" xfId="0" applyNumberFormat="1" applyFont="1" applyFill="1" applyBorder="1"/>
    <xf numFmtId="3" fontId="2" fillId="2" borderId="5" xfId="0" applyNumberFormat="1" applyFont="1" applyFill="1" applyBorder="1"/>
    <xf numFmtId="3" fontId="3" fillId="2" borderId="14" xfId="0" applyNumberFormat="1" applyFont="1" applyFill="1" applyBorder="1"/>
    <xf numFmtId="3" fontId="2" fillId="0" borderId="12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3" fontId="2" fillId="4" borderId="22" xfId="0" applyNumberFormat="1" applyFont="1" applyFill="1" applyBorder="1" applyAlignment="1">
      <alignment horizontal="center" vertical="center"/>
    </xf>
    <xf numFmtId="3" fontId="2" fillId="4" borderId="23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/>
    <xf numFmtId="3" fontId="2" fillId="2" borderId="12" xfId="0" applyNumberFormat="1" applyFont="1" applyFill="1" applyBorder="1"/>
    <xf numFmtId="3" fontId="2" fillId="2" borderId="13" xfId="0" applyNumberFormat="1" applyFont="1" applyFill="1" applyBorder="1"/>
    <xf numFmtId="3" fontId="3" fillId="2" borderId="12" xfId="0" applyNumberFormat="1" applyFont="1" applyFill="1" applyBorder="1"/>
    <xf numFmtId="3" fontId="3" fillId="4" borderId="24" xfId="0" applyNumberFormat="1" applyFont="1" applyFill="1" applyBorder="1" applyAlignment="1">
      <alignment horizontal="center" vertical="center"/>
    </xf>
    <xf numFmtId="3" fontId="8" fillId="4" borderId="2" xfId="192" applyNumberFormat="1" applyFill="1" applyBorder="1" applyAlignment="1" applyProtection="1">
      <alignment horizontal="center" vertical="center" wrapText="1"/>
      <protection locked="0"/>
    </xf>
    <xf numFmtId="164" fontId="2" fillId="4" borderId="25" xfId="0" applyNumberFormat="1" applyFont="1" applyFill="1" applyBorder="1"/>
    <xf numFmtId="3" fontId="0" fillId="4" borderId="2" xfId="0" applyNumberFormat="1" applyFill="1" applyBorder="1" applyAlignment="1" applyProtection="1">
      <alignment horizontal="center" vertical="center" wrapText="1"/>
      <protection locked="0"/>
    </xf>
    <xf numFmtId="3" fontId="2" fillId="2" borderId="7" xfId="0" applyNumberFormat="1" applyFont="1" applyFill="1" applyBorder="1"/>
    <xf numFmtId="3" fontId="3" fillId="2" borderId="10" xfId="0" applyNumberFormat="1" applyFont="1" applyFill="1" applyBorder="1"/>
    <xf numFmtId="0" fontId="2" fillId="2" borderId="26" xfId="0" applyFont="1" applyFill="1" applyBorder="1"/>
    <xf numFmtId="0" fontId="3" fillId="2" borderId="27" xfId="0" applyFont="1" applyFill="1" applyBorder="1"/>
    <xf numFmtId="3" fontId="3" fillId="4" borderId="29" xfId="0" applyNumberFormat="1" applyFont="1" applyFill="1" applyBorder="1" applyAlignment="1">
      <alignment horizontal="center" vertical="center"/>
    </xf>
    <xf numFmtId="3" fontId="3" fillId="4" borderId="30" xfId="0" applyNumberFormat="1" applyFont="1" applyFill="1" applyBorder="1" applyAlignment="1">
      <alignment horizontal="center" vertical="center"/>
    </xf>
    <xf numFmtId="3" fontId="3" fillId="4" borderId="12" xfId="0" applyNumberFormat="1" applyFont="1" applyFill="1" applyBorder="1" applyAlignment="1">
      <alignment horizontal="center" vertical="center"/>
    </xf>
    <xf numFmtId="3" fontId="3" fillId="4" borderId="13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3" fontId="3" fillId="0" borderId="28" xfId="0" applyNumberFormat="1" applyFont="1" applyBorder="1" applyAlignment="1">
      <alignment horizontal="center" vertical="center" wrapText="1"/>
    </xf>
    <xf numFmtId="3" fontId="3" fillId="0" borderId="22" xfId="0" applyNumberFormat="1" applyFont="1" applyBorder="1" applyAlignment="1">
      <alignment horizontal="center" vertical="center" wrapText="1"/>
    </xf>
    <xf numFmtId="3" fontId="2" fillId="0" borderId="20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2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/>
    </xf>
    <xf numFmtId="0" fontId="3" fillId="0" borderId="1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3" fontId="3" fillId="0" borderId="20" xfId="0" applyNumberFormat="1" applyFont="1" applyBorder="1" applyAlignment="1">
      <alignment horizontal="center" wrapText="1"/>
    </xf>
    <xf numFmtId="3" fontId="3" fillId="0" borderId="21" xfId="0" applyNumberFormat="1" applyFont="1" applyBorder="1" applyAlignment="1">
      <alignment horizontal="center" wrapText="1"/>
    </xf>
  </cellXfs>
  <cellStyles count="203">
    <cellStyle name="Гиперссылка" xfId="27" builtinId="8" hidden="1"/>
    <cellStyle name="Гиперссылка" xfId="79" builtinId="8" hidden="1"/>
    <cellStyle name="Гиперссылка" xfId="193" builtinId="8" hidden="1"/>
    <cellStyle name="Гиперссылка" xfId="195" builtinId="8" hidden="1"/>
    <cellStyle name="Гиперссылка" xfId="170" builtinId="8" hidden="1"/>
    <cellStyle name="Гиперссылка" xfId="168" builtinId="8" hidden="1"/>
    <cellStyle name="Гиперссылка" xfId="201" builtinId="8" hidden="1"/>
    <cellStyle name="Гиперссылка" xfId="21" builtinId="8" hidden="1"/>
    <cellStyle name="Гиперссылка" xfId="55" builtinId="8" hidden="1"/>
    <cellStyle name="Гиперссылка" xfId="95" builtinId="8" hidden="1"/>
    <cellStyle name="Гиперссылка" xfId="135" builtinId="8" hidden="1"/>
    <cellStyle name="Гиперссылка" xfId="53" builtinId="8" hidden="1"/>
    <cellStyle name="Гиперссылка" xfId="3" builtinId="8" hidden="1"/>
    <cellStyle name="Гиперссылка" xfId="41" builtinId="8" hidden="1"/>
    <cellStyle name="Гиперссылка" xfId="83" builtinId="8" hidden="1"/>
    <cellStyle name="Гиперссылка" xfId="148" builtinId="8" hidden="1"/>
    <cellStyle name="Гиперссылка" xfId="190" builtinId="8" hidden="1"/>
    <cellStyle name="Гиперссылка" xfId="113" builtinId="8" hidden="1"/>
    <cellStyle name="Гиперссылка" xfId="158" builtinId="8" hidden="1"/>
    <cellStyle name="Гиперссылка" xfId="81" builtinId="8" hidden="1"/>
    <cellStyle name="Гиперссылка" xfId="65" builtinId="8" hidden="1"/>
    <cellStyle name="Гиперссылка" xfId="101" builtinId="8" hidden="1"/>
    <cellStyle name="Гиперссылка" xfId="141" builtinId="8" hidden="1"/>
    <cellStyle name="Гиперссылка" xfId="25" builtinId="8" hidden="1"/>
    <cellStyle name="Гиперссылка" xfId="91" builtinId="8" hidden="1"/>
    <cellStyle name="Гиперссылка" xfId="139" builtinId="8" hidden="1"/>
    <cellStyle name="Гиперссылка" xfId="172" builtinId="8" hidden="1"/>
    <cellStyle name="Гиперссылка" xfId="182" builtinId="8" hidden="1"/>
    <cellStyle name="Гиперссылка" xfId="109" builtinId="8" hidden="1"/>
    <cellStyle name="Гиперссылка" xfId="129" builtinId="8" hidden="1"/>
    <cellStyle name="Гиперссылка" xfId="188" builtinId="8" hidden="1"/>
    <cellStyle name="Гиперссылка" xfId="59" builtinId="8" hidden="1"/>
    <cellStyle name="Гиперссылка" xfId="17" builtinId="8" hidden="1"/>
    <cellStyle name="Гиперссылка" xfId="47" builtinId="8" hidden="1"/>
    <cellStyle name="Гиперссылка" xfId="7" builtinId="8" hidden="1"/>
    <cellStyle name="Гиперссылка" xfId="11" builtinId="8" hidden="1"/>
    <cellStyle name="Гиперссылка" xfId="49" builtinId="8" hidden="1"/>
    <cellStyle name="Гиперссылка" xfId="39" builtinId="8" hidden="1"/>
    <cellStyle name="Гиперссылка" xfId="45" builtinId="8" hidden="1"/>
    <cellStyle name="Гиперссылка" xfId="9" builtinId="8" hidden="1"/>
    <cellStyle name="Гиперссылка" xfId="1" builtinId="8" hidden="1"/>
    <cellStyle name="Гиперссылка" xfId="123" builtinId="8" hidden="1"/>
    <cellStyle name="Гиперссылка" xfId="97" builtinId="8" hidden="1"/>
    <cellStyle name="Гиперссылка" xfId="121" builtinId="8" hidden="1"/>
    <cellStyle name="Гиперссылка" xfId="166" builtinId="8" hidden="1"/>
    <cellStyle name="Гиперссылка" xfId="199" builtinId="8" hidden="1"/>
    <cellStyle name="Гиперссылка" xfId="156" builtinId="8" hidden="1"/>
    <cellStyle name="Гиперссылка" xfId="107" builtinId="8" hidden="1"/>
    <cellStyle name="Гиперссылка" xfId="75" builtinId="8" hidden="1"/>
    <cellStyle name="Гиперссылка" xfId="35" builtinId="8" hidden="1"/>
    <cellStyle name="Гиперссылка" xfId="162" builtinId="8" hidden="1"/>
    <cellStyle name="Гиперссылка" xfId="85" builtinId="8" hidden="1"/>
    <cellStyle name="Гиперссылка" xfId="61" builtinId="8" hidden="1"/>
    <cellStyle name="Гиперссылка" xfId="117" builtinId="8" hidden="1"/>
    <cellStyle name="Гиперссылка" xfId="137" builtinId="8" hidden="1"/>
    <cellStyle name="Гиперссылка" xfId="93" builtinId="8" hidden="1"/>
    <cellStyle name="Гиперссылка" xfId="180" builtinId="8" hidden="1"/>
    <cellStyle name="Гиперссылка" xfId="115" builtinId="8" hidden="1"/>
    <cellStyle name="Гиперссылка" xfId="19" builtinId="8" hidden="1"/>
    <cellStyle name="Гиперссылка" xfId="31" builtinId="8" hidden="1"/>
    <cellStyle name="Гиперссылка" xfId="15" builtinId="8" hidden="1"/>
    <cellStyle name="Гиперссылка" xfId="160" builtinId="8" hidden="1"/>
    <cellStyle name="Гиперссылка" xfId="119" builtinId="8" hidden="1"/>
    <cellStyle name="Гиперссылка" xfId="71" builtinId="8" hidden="1"/>
    <cellStyle name="Гиперссылка" xfId="33" builtinId="8" hidden="1"/>
    <cellStyle name="Гиперссылка" xfId="111" builtinId="8" hidden="1"/>
    <cellStyle name="Гиперссылка" xfId="184" builtinId="8" hidden="1"/>
    <cellStyle name="Гиперссылка" xfId="178" builtinId="8" hidden="1"/>
    <cellStyle name="Гиперссылка" xfId="186" builtinId="8" hidden="1"/>
    <cellStyle name="Гиперссылка" xfId="176" builtinId="8" hidden="1"/>
    <cellStyle name="Гиперссылка" xfId="143" builtinId="8" hidden="1"/>
    <cellStyle name="Гиперссылка" xfId="37" builtinId="8" hidden="1"/>
    <cellStyle name="Гиперссылка" xfId="63" builtinId="8" hidden="1"/>
    <cellStyle name="Гиперссылка" xfId="125" builtinId="8" hidden="1"/>
    <cellStyle name="Гиперссылка" xfId="105" builtinId="8" hidden="1"/>
    <cellStyle name="Гиперссылка" xfId="197" builtinId="8" hidden="1"/>
    <cellStyle name="Гиперссылка" xfId="164" builtinId="8" hidden="1"/>
    <cellStyle name="Гиперссылка" xfId="131" builtinId="8" hidden="1"/>
    <cellStyle name="Гиперссылка" xfId="67" builtinId="8" hidden="1"/>
    <cellStyle name="Гиперссылка" xfId="29" builtinId="8" hidden="1"/>
    <cellStyle name="Гиперссылка" xfId="51" builtinId="8" hidden="1"/>
    <cellStyle name="Гиперссылка" xfId="5" builtinId="8" hidden="1"/>
    <cellStyle name="Гиперссылка" xfId="23" builtinId="8" hidden="1"/>
    <cellStyle name="Гиперссылка" xfId="43" builtinId="8" hidden="1"/>
    <cellStyle name="Гиперссылка" xfId="127" builtinId="8" hidden="1"/>
    <cellStyle name="Гиперссылка" xfId="103" builtinId="8" hidden="1"/>
    <cellStyle name="Гиперссылка" xfId="87" builtinId="8" hidden="1"/>
    <cellStyle name="Гиперссылка" xfId="152" builtinId="8" hidden="1"/>
    <cellStyle name="Гиперссылка" xfId="13" builtinId="8" hidden="1"/>
    <cellStyle name="Гиперссылка" xfId="99" builtinId="8" hidden="1"/>
    <cellStyle name="Гиперссылка" xfId="174" builtinId="8" hidden="1"/>
    <cellStyle name="Гиперссылка" xfId="57" builtinId="8" hidden="1"/>
    <cellStyle name="Гиперссылка" xfId="89" builtinId="8" hidden="1"/>
    <cellStyle name="Гиперссылка" xfId="73" builtinId="8" hidden="1"/>
    <cellStyle name="Гиперссылка" xfId="150" builtinId="8" hidden="1"/>
    <cellStyle name="Гиперссылка" xfId="146" builtinId="8" hidden="1"/>
    <cellStyle name="Гиперссылка" xfId="69" builtinId="8" hidden="1"/>
    <cellStyle name="Гиперссылка" xfId="133" builtinId="8" hidden="1"/>
    <cellStyle name="Гиперссылка" xfId="77" builtinId="8" hidden="1"/>
    <cellStyle name="Гиперссылка" xfId="154" builtinId="8" hidden="1"/>
    <cellStyle name="Обычный" xfId="0" builtinId="0"/>
    <cellStyle name="Обычный_CFSibir" xfId="192" xr:uid="{00000000-0005-0000-0000-000065000000}"/>
    <cellStyle name="Открывавшаяся гиперссылка" xfId="24" builtinId="9" hidden="1"/>
    <cellStyle name="Открывавшаяся гиперссылка" xfId="12" builtinId="9" hidden="1"/>
    <cellStyle name="Открывавшаяся гиперссылка" xfId="30" builtinId="9" hidden="1"/>
    <cellStyle name="Открывавшаяся гиперссылка" xfId="40" builtinId="9" hidden="1"/>
    <cellStyle name="Открывавшаяся гиперссылка" xfId="151" builtinId="9" hidden="1"/>
    <cellStyle name="Открывавшаяся гиперссылка" xfId="200" builtinId="9" hidden="1"/>
    <cellStyle name="Открывавшаяся гиперссылка" xfId="194" builtinId="9" hidden="1"/>
    <cellStyle name="Открывавшаяся гиперссылка" xfId="161" builtinId="9" hidden="1"/>
    <cellStyle name="Открывавшаяся гиперссылка" xfId="177" builtinId="9" hidden="1"/>
    <cellStyle name="Открывавшаяся гиперссылка" xfId="189" builtinId="9" hidden="1"/>
    <cellStyle name="Открывавшаяся гиперссылка" xfId="118" builtinId="9" hidden="1"/>
    <cellStyle name="Открывавшаяся гиперссылка" xfId="126" builtinId="9" hidden="1"/>
    <cellStyle name="Открывавшаяся гиперссылка" xfId="130" builtinId="9" hidden="1"/>
    <cellStyle name="Открывавшаяся гиперссылка" xfId="138" builtinId="9" hidden="1"/>
    <cellStyle name="Открывавшаяся гиперссылка" xfId="140" builtinId="9" hidden="1"/>
    <cellStyle name="Открывавшаяся гиперссылка" xfId="142" builtinId="9" hidden="1"/>
    <cellStyle name="Открывавшаяся гиперссылка" xfId="114" builtinId="9" hidden="1"/>
    <cellStyle name="Открывавшаяся гиперссылка" xfId="100" builtinId="9" hidden="1"/>
    <cellStyle name="Открывавшаяся гиперссылка" xfId="102" builtinId="9" hidden="1"/>
    <cellStyle name="Открывавшаяся гиперссылка" xfId="94" builtinId="9" hidden="1"/>
    <cellStyle name="Открывавшаяся гиперссылка" xfId="116" builtinId="9" hidden="1"/>
    <cellStyle name="Открывавшаяся гиперссылка" xfId="106" builtinId="9" hidden="1"/>
    <cellStyle name="Открывавшаяся гиперссылка" xfId="167" builtinId="9" hidden="1"/>
    <cellStyle name="Открывавшаяся гиперссылка" xfId="134" builtinId="9" hidden="1"/>
    <cellStyle name="Открывавшаяся гиперссылка" xfId="110" builtinId="9" hidden="1"/>
    <cellStyle name="Открывавшаяся гиперссылка" xfId="202" builtinId="9" hidden="1"/>
    <cellStyle name="Открывавшаяся гиперссылка" xfId="159" builtinId="9" hidden="1"/>
    <cellStyle name="Открывавшаяся гиперссылка" xfId="165" builtinId="9" hidden="1"/>
    <cellStyle name="Открывавшаяся гиперссылка" xfId="173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91" builtinId="9" hidden="1"/>
    <cellStyle name="Открывавшаяся гиперссылка" xfId="196" builtinId="9" hidden="1"/>
    <cellStyle name="Открывавшаяся гиперссылка" xfId="198" builtinId="9" hidden="1"/>
    <cellStyle name="Открывавшаяся гиперссылка" xfId="144" builtinId="9" hidden="1"/>
    <cellStyle name="Открывавшаяся гиперссылка" xfId="149" builtinId="9" hidden="1"/>
    <cellStyle name="Открывавшаяся гиперссылка" xfId="155" builtinId="9" hidden="1"/>
    <cellStyle name="Открывавшаяся гиперссылка" xfId="62" builtinId="9" hidden="1"/>
    <cellStyle name="Открывавшаяся гиперссылка" xfId="52" builtinId="9" hidden="1"/>
    <cellStyle name="Открывавшаяся гиперссылка" xfId="70" builtinId="9" hidden="1"/>
    <cellStyle name="Открывавшаяся гиперссылка" xfId="90" builtinId="9" hidden="1"/>
    <cellStyle name="Открывавшаяся гиперссылка" xfId="157" builtinId="9" hidden="1"/>
    <cellStyle name="Открывавшаяся гиперссылка" xfId="112" builtinId="9" hidden="1"/>
    <cellStyle name="Открывавшаяся гиперссылка" xfId="183" builtinId="9" hidden="1"/>
    <cellStyle name="Открывавшаяся гиперссылка" xfId="171" builtinId="9" hidden="1"/>
    <cellStyle name="Открывавшаяся гиперссылка" xfId="122" builtinId="9" hidden="1"/>
    <cellStyle name="Открывавшаяся гиперссылка" xfId="124" builtinId="9" hidden="1"/>
    <cellStyle name="Открывавшаяся гиперссылка" xfId="98" builtinId="9" hidden="1"/>
    <cellStyle name="Открывавшаяся гиперссылка" xfId="108" builtinId="9" hidden="1"/>
    <cellStyle name="Открывавшаяся гиперссылка" xfId="132" builtinId="9" hidden="1"/>
    <cellStyle name="Открывавшаяся гиперссылка" xfId="147" builtinId="9" hidden="1"/>
    <cellStyle name="Открывавшаяся гиперссылка" xfId="185" builtinId="9" hidden="1"/>
    <cellStyle name="Открывавшаяся гиперссылка" xfId="86" builtinId="9" hidden="1"/>
    <cellStyle name="Открывавшаяся гиперссылка" xfId="4" builtinId="9" hidden="1"/>
    <cellStyle name="Открывавшаяся гиперссылка" xfId="18" builtinId="9" hidden="1"/>
    <cellStyle name="Открывавшаяся гиперссылка" xfId="10" builtinId="9" hidden="1"/>
    <cellStyle name="Открывавшаяся гиперссылка" xfId="56" builtinId="9" hidden="1"/>
    <cellStyle name="Открывавшаяся гиперссылка" xfId="32" builtinId="9" hidden="1"/>
    <cellStyle name="Открывавшаяся гиперссылка" xfId="14" builtinId="9" hidden="1"/>
    <cellStyle name="Открывавшаяся гиперссылка" xfId="82" builtinId="9" hidden="1"/>
    <cellStyle name="Открывавшаяся гиперссылка" xfId="50" builtinId="9" hidden="1"/>
    <cellStyle name="Открывавшаяся гиперссылка" xfId="60" builtinId="9" hidden="1"/>
    <cellStyle name="Открывавшаяся гиперссылка" xfId="64" builtinId="9" hidden="1"/>
    <cellStyle name="Открывавшаяся гиперссылка" xfId="66" builtinId="9" hidden="1"/>
    <cellStyle name="Открывавшаяся гиперссылка" xfId="74" builtinId="9" hidden="1"/>
    <cellStyle name="Открывавшаяся гиперссылка" xfId="76" builtinId="9" hidden="1"/>
    <cellStyle name="Открывавшаяся гиперссылка" xfId="78" builtinId="9" hidden="1"/>
    <cellStyle name="Открывавшаяся гиперссылка" xfId="96" builtinId="9" hidden="1"/>
    <cellStyle name="Открывавшаяся гиперссылка" xfId="46" builtinId="9" hidden="1"/>
    <cellStyle name="Открывавшаяся гиперссылка" xfId="128" builtinId="9" hidden="1"/>
    <cellStyle name="Открывавшаяся гиперссылка" xfId="120" builtinId="9" hidden="1"/>
    <cellStyle name="Открывавшаяся гиперссылка" xfId="136" builtinId="9" hidden="1"/>
    <cellStyle name="Открывавшаяся гиперссылка" xfId="153" builtinId="9" hidden="1"/>
    <cellStyle name="Открывавшаяся гиперссылка" xfId="48" builtinId="9" hidden="1"/>
    <cellStyle name="Открывавшаяся гиперссылка" xfId="104" builtinId="9" hidden="1"/>
    <cellStyle name="Открывавшаяся гиперссылка" xfId="58" builtinId="9" hidden="1"/>
    <cellStyle name="Открывавшаяся гиперссылка" xfId="22" builtinId="9" hidden="1"/>
    <cellStyle name="Открывавшаяся гиперссылка" xfId="68" builtinId="9" hidden="1"/>
    <cellStyle name="Открывавшаяся гиперссылка" xfId="42" builtinId="9" hidden="1"/>
    <cellStyle name="Открывавшаяся гиперссылка" xfId="54" builtinId="9" hidden="1"/>
    <cellStyle name="Открывавшаяся гиперссылка" xfId="2" builtinId="9" hidden="1"/>
    <cellStyle name="Открывавшаяся гиперссылка" xfId="72" builtinId="9" hidden="1"/>
    <cellStyle name="Открывавшаяся гиперссылка" xfId="20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16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44" builtinId="9" hidden="1"/>
    <cellStyle name="Открывавшаяся гиперссылка" xfId="80" builtinId="9" hidden="1"/>
    <cellStyle name="Открывавшаяся гиперссылка" xfId="84" builtinId="9" hidden="1"/>
    <cellStyle name="Открывавшаяся гиперссылка" xfId="92" builtinId="9" hidden="1"/>
    <cellStyle name="Открывавшаяся гиперссылка" xfId="88" builtinId="9" hidden="1"/>
    <cellStyle name="Открывавшаяся гиперссылка" xfId="175" builtinId="9" hidden="1"/>
    <cellStyle name="Открывавшаяся гиперссылка" xfId="163" builtinId="9" hidden="1"/>
    <cellStyle name="Открывавшаяся гиперссылка" xfId="187" builtinId="9" hidden="1"/>
    <cellStyle name="Открывавшаяся гиперссылка" xfId="169" builtinId="9" hidden="1"/>
    <cellStyle name="Процентный" xfId="145" builtinId="5"/>
  </cellStyles>
  <dxfs count="0"/>
  <tableStyles count="0" defaultTableStyle="TableStyleMedium9" defaultPivotStyle="PivotStyleMedium4"/>
  <colors>
    <mruColors>
      <color rgb="FFFFFF9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0"/>
  <sheetViews>
    <sheetView tabSelected="1" zoomScale="82" zoomScaleNormal="82" zoomScalePageLayoutView="95" workbookViewId="0">
      <selection activeCell="O10" sqref="O10"/>
    </sheetView>
  </sheetViews>
  <sheetFormatPr baseColWidth="10" defaultColWidth="11" defaultRowHeight="16"/>
  <cols>
    <col min="1" max="1" width="12.83203125" customWidth="1"/>
    <col min="2" max="2" width="11.6640625" customWidth="1"/>
    <col min="3" max="4" width="11" bestFit="1" customWidth="1"/>
    <col min="5" max="5" width="12" bestFit="1" customWidth="1"/>
    <col min="6" max="9" width="11" bestFit="1" customWidth="1"/>
    <col min="10" max="10" width="10.5" customWidth="1"/>
    <col min="11" max="12" width="15.16406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3" t="s">
        <v>7</v>
      </c>
      <c r="B2" s="4"/>
      <c r="C2" s="4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50" t="s">
        <v>17</v>
      </c>
      <c r="B3" s="50"/>
      <c r="C3" s="4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50" t="s">
        <v>9</v>
      </c>
      <c r="B4" s="50"/>
      <c r="C4" s="4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>
      <c r="A5" s="50" t="s">
        <v>16</v>
      </c>
      <c r="B5" s="50"/>
      <c r="C5" s="4" t="e">
        <f>C2/N26</f>
        <v>#DIV/0!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7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" customHeight="1">
      <c r="A7" s="51" t="s">
        <v>14</v>
      </c>
      <c r="B7" s="53" t="s">
        <v>4</v>
      </c>
      <c r="C7" s="54"/>
      <c r="D7" s="47" t="s">
        <v>6</v>
      </c>
      <c r="E7" s="48"/>
      <c r="F7" s="48"/>
      <c r="G7" s="48"/>
      <c r="H7" s="48"/>
      <c r="I7" s="48"/>
      <c r="J7" s="49"/>
      <c r="K7" s="45" t="s">
        <v>0</v>
      </c>
      <c r="L7" s="43" t="s">
        <v>3</v>
      </c>
      <c r="M7" s="2"/>
    </row>
    <row r="8" spans="1:13" s="1" customFormat="1" ht="57" customHeight="1" thickBot="1">
      <c r="A8" s="52"/>
      <c r="B8" s="8" t="s">
        <v>18</v>
      </c>
      <c r="C8" s="19" t="s">
        <v>13</v>
      </c>
      <c r="D8" s="23" t="s">
        <v>5</v>
      </c>
      <c r="E8" s="7" t="s">
        <v>8</v>
      </c>
      <c r="F8" s="7" t="s">
        <v>10</v>
      </c>
      <c r="G8" s="7" t="s">
        <v>19</v>
      </c>
      <c r="H8" s="7" t="s">
        <v>11</v>
      </c>
      <c r="I8" s="7" t="s">
        <v>12</v>
      </c>
      <c r="J8" s="24" t="s">
        <v>15</v>
      </c>
      <c r="K8" s="46"/>
      <c r="L8" s="44"/>
      <c r="M8" s="6"/>
    </row>
    <row r="9" spans="1:13" ht="17" thickBot="1">
      <c r="A9" s="16">
        <v>45200</v>
      </c>
      <c r="B9" s="13">
        <v>1089994</v>
      </c>
      <c r="C9" s="20"/>
      <c r="D9" s="25">
        <f>182702+15800</f>
        <v>198502</v>
      </c>
      <c r="E9" s="12">
        <f>131344+5000</f>
        <v>136344</v>
      </c>
      <c r="F9" s="10">
        <f>7800+300+25998+3700+8000-12500</f>
        <v>33298</v>
      </c>
      <c r="G9" s="10">
        <f>380792+6890</f>
        <v>387682</v>
      </c>
      <c r="H9" s="17">
        <v>20000</v>
      </c>
      <c r="I9" s="11"/>
      <c r="J9" s="26">
        <v>10490</v>
      </c>
      <c r="K9" s="39">
        <f t="shared" ref="K9:K15" si="0">SUM(D9+E9+F9+G9+H9+I9+J9)</f>
        <v>786316</v>
      </c>
      <c r="L9" s="40">
        <f t="shared" ref="L9:L18" si="1">B9+C9-K9</f>
        <v>303678</v>
      </c>
      <c r="M9" s="2"/>
    </row>
    <row r="10" spans="1:13" ht="17" thickBot="1">
      <c r="A10" s="16">
        <v>45231</v>
      </c>
      <c r="B10" s="13">
        <v>836399</v>
      </c>
      <c r="C10" s="20"/>
      <c r="D10" s="25">
        <v>222862</v>
      </c>
      <c r="E10" s="12">
        <f>130707+5000</f>
        <v>135707</v>
      </c>
      <c r="F10" s="10">
        <f>24098+9400-35000</f>
        <v>-1502</v>
      </c>
      <c r="G10" s="10">
        <f>215282+4625</f>
        <v>219907</v>
      </c>
      <c r="H10" s="17">
        <v>23450</v>
      </c>
      <c r="I10" s="11">
        <v>15032</v>
      </c>
      <c r="J10" s="26">
        <f>14271+5800</f>
        <v>20071</v>
      </c>
      <c r="K10" s="39">
        <f t="shared" si="0"/>
        <v>635527</v>
      </c>
      <c r="L10" s="40">
        <f t="shared" si="1"/>
        <v>200872</v>
      </c>
      <c r="M10" s="2"/>
    </row>
    <row r="11" spans="1:13" ht="17" thickBot="1">
      <c r="A11" s="16">
        <v>45261</v>
      </c>
      <c r="B11" s="13">
        <v>919777</v>
      </c>
      <c r="C11" s="20"/>
      <c r="D11" s="25">
        <f>272262+11000</f>
        <v>283262</v>
      </c>
      <c r="E11" s="12">
        <f>131252</f>
        <v>131252</v>
      </c>
      <c r="F11" s="10">
        <f>6000+24261+7000-12000</f>
        <v>25261</v>
      </c>
      <c r="G11" s="10">
        <f>248818+5510</f>
        <v>254328</v>
      </c>
      <c r="H11" s="17">
        <f>22527</f>
        <v>22527</v>
      </c>
      <c r="I11" s="11">
        <v>18120</v>
      </c>
      <c r="J11" s="26">
        <v>55861</v>
      </c>
      <c r="K11" s="39">
        <f t="shared" si="0"/>
        <v>790611</v>
      </c>
      <c r="L11" s="40">
        <f t="shared" si="1"/>
        <v>129166</v>
      </c>
      <c r="M11" s="2"/>
    </row>
    <row r="12" spans="1:13" ht="17" thickBot="1">
      <c r="A12" s="16">
        <v>45292</v>
      </c>
      <c r="B12" s="13">
        <v>840233</v>
      </c>
      <c r="C12" s="20"/>
      <c r="D12" s="25">
        <f>200442+23050</f>
        <v>223492</v>
      </c>
      <c r="E12" s="12">
        <f>133873+5000</f>
        <v>138873</v>
      </c>
      <c r="F12" s="10">
        <f>5850+1014+6000</f>
        <v>12864</v>
      </c>
      <c r="G12" s="10">
        <f>242854+1800</f>
        <v>244654</v>
      </c>
      <c r="H12" s="17">
        <f>3350+1000</f>
        <v>4350</v>
      </c>
      <c r="I12" s="11">
        <v>3880</v>
      </c>
      <c r="J12" s="26">
        <v>69398</v>
      </c>
      <c r="K12" s="39">
        <f t="shared" si="0"/>
        <v>697511</v>
      </c>
      <c r="L12" s="40">
        <f t="shared" si="1"/>
        <v>142722</v>
      </c>
      <c r="M12" s="2"/>
    </row>
    <row r="13" spans="1:13" ht="17" thickBot="1">
      <c r="A13" s="16">
        <v>45323</v>
      </c>
      <c r="B13" s="13">
        <v>894986</v>
      </c>
      <c r="C13" s="20"/>
      <c r="D13" s="25">
        <v>210262</v>
      </c>
      <c r="E13" s="12">
        <v>134197</v>
      </c>
      <c r="F13" s="10">
        <f>5500+5700</f>
        <v>11200</v>
      </c>
      <c r="G13" s="10">
        <v>228715</v>
      </c>
      <c r="H13" s="17">
        <v>800</v>
      </c>
      <c r="I13" s="11">
        <v>2990</v>
      </c>
      <c r="J13" s="26">
        <f>14384+18000</f>
        <v>32384</v>
      </c>
      <c r="K13" s="39">
        <f t="shared" si="0"/>
        <v>620548</v>
      </c>
      <c r="L13" s="40">
        <f t="shared" si="1"/>
        <v>274438</v>
      </c>
      <c r="M13" s="2"/>
    </row>
    <row r="14" spans="1:13" s="2" customFormat="1" ht="17" thickBot="1">
      <c r="A14" s="16">
        <v>45352</v>
      </c>
      <c r="B14" s="13">
        <v>892577</v>
      </c>
      <c r="C14" s="20"/>
      <c r="D14" s="25">
        <f>255480+6000</f>
        <v>261480</v>
      </c>
      <c r="E14" s="12">
        <f>133934+5000</f>
        <v>138934</v>
      </c>
      <c r="F14" s="10">
        <f>6160+4300+4800-5000-4000</f>
        <v>6260</v>
      </c>
      <c r="G14" s="10">
        <f>276981</f>
        <v>276981</v>
      </c>
      <c r="H14" s="17">
        <v>1800</v>
      </c>
      <c r="I14" s="11">
        <f>5000+5070+2980</f>
        <v>13050</v>
      </c>
      <c r="J14" s="26">
        <v>22607</v>
      </c>
      <c r="K14" s="39">
        <f t="shared" si="0"/>
        <v>721112</v>
      </c>
      <c r="L14" s="40">
        <f t="shared" si="1"/>
        <v>171465</v>
      </c>
    </row>
    <row r="15" spans="1:13" ht="17" thickBot="1">
      <c r="A15" s="16">
        <v>45383</v>
      </c>
      <c r="B15" s="13">
        <v>790327</v>
      </c>
      <c r="C15" s="20"/>
      <c r="D15" s="25">
        <f>169740+20000+2000</f>
        <v>191740</v>
      </c>
      <c r="E15" s="12">
        <f>110210</f>
        <v>110210</v>
      </c>
      <c r="F15" s="10">
        <f>6161+22410+6000+848+6000-23000</f>
        <v>18419</v>
      </c>
      <c r="G15" s="10">
        <v>191500</v>
      </c>
      <c r="H15" s="17">
        <v>550</v>
      </c>
      <c r="I15" s="11">
        <v>1990</v>
      </c>
      <c r="J15" s="26"/>
      <c r="K15" s="39">
        <f t="shared" si="0"/>
        <v>514409</v>
      </c>
      <c r="L15" s="40">
        <f t="shared" si="1"/>
        <v>275918</v>
      </c>
      <c r="M15" s="2"/>
    </row>
    <row r="16" spans="1:13" ht="17" thickBot="1">
      <c r="A16" s="16">
        <v>45413</v>
      </c>
      <c r="B16" s="31">
        <v>767377</v>
      </c>
      <c r="C16" s="33"/>
      <c r="D16" s="25">
        <f>158740+27000</f>
        <v>185740</v>
      </c>
      <c r="E16" s="11">
        <f>154868+5000</f>
        <v>159868</v>
      </c>
      <c r="F16" s="32">
        <f>6157+5674+2000+7300-5600</f>
        <v>15531</v>
      </c>
      <c r="G16" s="32">
        <f>190747</f>
        <v>190747</v>
      </c>
      <c r="H16" s="34">
        <f>5235</f>
        <v>5235</v>
      </c>
      <c r="I16" s="11">
        <f>17807+10496</f>
        <v>28303</v>
      </c>
      <c r="J16" s="26">
        <f>96769</f>
        <v>96769</v>
      </c>
      <c r="K16" s="39">
        <f t="shared" ref="K16:K21" si="2">SUM(D16:J16)</f>
        <v>682193</v>
      </c>
      <c r="L16" s="40">
        <f t="shared" si="1"/>
        <v>85184</v>
      </c>
      <c r="M16" s="2"/>
    </row>
    <row r="17" spans="1:13" ht="17" thickBot="1">
      <c r="A17" s="16">
        <v>45444</v>
      </c>
      <c r="B17" s="31">
        <v>738249</v>
      </c>
      <c r="C17" s="33"/>
      <c r="D17" s="25">
        <f>169240+25000+6400+5000</f>
        <v>205640</v>
      </c>
      <c r="E17" s="11">
        <v>110210</v>
      </c>
      <c r="F17" s="32">
        <f>35350+300-11000</f>
        <v>24650</v>
      </c>
      <c r="G17" s="32">
        <v>189069</v>
      </c>
      <c r="H17" s="34">
        <v>19180</v>
      </c>
      <c r="I17" s="11">
        <v>14469</v>
      </c>
      <c r="J17" s="26">
        <v>8274</v>
      </c>
      <c r="K17" s="41">
        <f t="shared" si="2"/>
        <v>571492</v>
      </c>
      <c r="L17" s="42">
        <f t="shared" si="1"/>
        <v>166757</v>
      </c>
      <c r="M17" s="2"/>
    </row>
    <row r="18" spans="1:13" ht="17" thickBot="1">
      <c r="A18" s="16">
        <v>45474</v>
      </c>
      <c r="B18" s="31">
        <v>722879</v>
      </c>
      <c r="C18" s="33"/>
      <c r="D18" s="25">
        <f>174740+16000+5000+200</f>
        <v>195940</v>
      </c>
      <c r="E18" s="11">
        <f>153849</f>
        <v>153849</v>
      </c>
      <c r="F18" s="32">
        <f>5150</f>
        <v>5150</v>
      </c>
      <c r="G18" s="32">
        <v>211933</v>
      </c>
      <c r="H18" s="34">
        <v>18380</v>
      </c>
      <c r="I18" s="11">
        <f>25078</f>
        <v>25078</v>
      </c>
      <c r="J18" s="26">
        <v>25298</v>
      </c>
      <c r="K18" s="41">
        <f t="shared" si="2"/>
        <v>635628</v>
      </c>
      <c r="L18" s="42">
        <f t="shared" si="1"/>
        <v>87251</v>
      </c>
      <c r="M18" s="2"/>
    </row>
    <row r="19" spans="1:13" ht="17" thickBot="1">
      <c r="A19" s="16">
        <v>45505</v>
      </c>
      <c r="B19" s="31">
        <v>859044</v>
      </c>
      <c r="C19" s="33"/>
      <c r="D19" s="25">
        <f>211940+22000</f>
        <v>233940</v>
      </c>
      <c r="E19" s="11">
        <v>136478</v>
      </c>
      <c r="F19" s="32">
        <f>8051</f>
        <v>8051</v>
      </c>
      <c r="G19" s="32">
        <v>229324</v>
      </c>
      <c r="H19" s="34">
        <v>19580</v>
      </c>
      <c r="I19" s="11"/>
      <c r="J19" s="26">
        <v>3534</v>
      </c>
      <c r="K19" s="39">
        <f t="shared" si="2"/>
        <v>630907</v>
      </c>
      <c r="L19" s="40">
        <f t="shared" ref="L19:L21" si="3">B19+C19-K19</f>
        <v>228137</v>
      </c>
      <c r="M19" s="2"/>
    </row>
    <row r="20" spans="1:13" ht="17" thickBot="1">
      <c r="A20" s="16">
        <v>45536</v>
      </c>
      <c r="B20" s="31">
        <v>663598</v>
      </c>
      <c r="C20" s="33"/>
      <c r="D20" s="25">
        <f>144600+15000</f>
        <v>159600</v>
      </c>
      <c r="E20" s="11">
        <f>133388+9840</f>
        <v>143228</v>
      </c>
      <c r="F20" s="32">
        <f>29041-1900</f>
        <v>27141</v>
      </c>
      <c r="G20" s="32">
        <f>187329</f>
        <v>187329</v>
      </c>
      <c r="H20" s="34">
        <v>18380</v>
      </c>
      <c r="I20" s="11"/>
      <c r="J20" s="26">
        <v>3508</v>
      </c>
      <c r="K20" s="41">
        <f t="shared" si="2"/>
        <v>539186</v>
      </c>
      <c r="L20" s="42">
        <f t="shared" ref="L20" si="4">B20+C20-K20</f>
        <v>124412</v>
      </c>
      <c r="M20" s="2"/>
    </row>
    <row r="21" spans="1:13" ht="17" thickBot="1">
      <c r="A21" s="16">
        <v>45566</v>
      </c>
      <c r="B21" s="31">
        <v>794596</v>
      </c>
      <c r="C21" s="33"/>
      <c r="D21" s="25">
        <f>196290+36000</f>
        <v>232290</v>
      </c>
      <c r="E21" s="11">
        <v>131142</v>
      </c>
      <c r="F21" s="32">
        <f>10000+6264</f>
        <v>16264</v>
      </c>
      <c r="G21" s="32">
        <v>231556</v>
      </c>
      <c r="H21" s="34">
        <v>18380</v>
      </c>
      <c r="I21" s="11">
        <f>6161+935+1890+2990</f>
        <v>11976</v>
      </c>
      <c r="J21" s="11">
        <v>8402</v>
      </c>
      <c r="K21" s="41">
        <f t="shared" si="2"/>
        <v>650010</v>
      </c>
      <c r="L21" s="42">
        <f t="shared" si="3"/>
        <v>144586</v>
      </c>
      <c r="M21" s="2"/>
    </row>
    <row r="22" spans="1:13" ht="17" thickBot="1">
      <c r="A22" s="37" t="s">
        <v>1</v>
      </c>
      <c r="B22" s="35">
        <f>SUM(B9:B21)</f>
        <v>10810036</v>
      </c>
      <c r="C22" s="21">
        <f>SUM(C9:C21)</f>
        <v>0</v>
      </c>
      <c r="D22" s="27"/>
      <c r="E22" s="14"/>
      <c r="F22" s="14"/>
      <c r="G22" s="14"/>
      <c r="H22" s="14"/>
      <c r="I22" s="14">
        <f>SUM(I9:I21)</f>
        <v>134888</v>
      </c>
      <c r="J22" s="15"/>
      <c r="K22" s="27">
        <f>SUM(K9:K21)</f>
        <v>8475450</v>
      </c>
      <c r="L22" s="15">
        <f>SUM(L9:L21)</f>
        <v>2334586</v>
      </c>
      <c r="M22" s="2"/>
    </row>
    <row r="23" spans="1:13" ht="17" thickBot="1">
      <c r="A23" s="38" t="s">
        <v>2</v>
      </c>
      <c r="B23" s="36">
        <f>AVERAGE(B9:B21)</f>
        <v>831541.23076923075</v>
      </c>
      <c r="C23" s="22"/>
      <c r="D23" s="28"/>
      <c r="E23" s="18"/>
      <c r="F23" s="18"/>
      <c r="G23" s="18"/>
      <c r="H23" s="18"/>
      <c r="I23" s="18">
        <f>AVERAGE(I9:I21)</f>
        <v>13488.8</v>
      </c>
      <c r="J23" s="29"/>
      <c r="K23" s="30">
        <f>AVERAGE(K9:K21)</f>
        <v>651957.69230769225</v>
      </c>
      <c r="L23" s="9">
        <f>AVERAGE(L9:L21)</f>
        <v>179583.53846153847</v>
      </c>
      <c r="M23" s="2"/>
    </row>
    <row r="24" spans="1:13">
      <c r="A24" s="2"/>
      <c r="B24" s="2"/>
      <c r="C24" s="2"/>
      <c r="D24" s="5"/>
      <c r="E24" s="5"/>
      <c r="F24" s="5"/>
      <c r="G24" s="5"/>
      <c r="H24" s="5"/>
      <c r="I24" s="5"/>
      <c r="J24" s="5"/>
      <c r="K24" s="2"/>
      <c r="L24" s="2"/>
      <c r="M24" s="2"/>
    </row>
    <row r="25" spans="1:1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</sheetData>
  <mergeCells count="8">
    <mergeCell ref="L7:L8"/>
    <mergeCell ref="K7:K8"/>
    <mergeCell ref="D7:J7"/>
    <mergeCell ref="A3:B3"/>
    <mergeCell ref="A5:B5"/>
    <mergeCell ref="A4:B4"/>
    <mergeCell ref="A7:A8"/>
    <mergeCell ref="B7:C7"/>
  </mergeCells>
  <phoneticPr fontId="7" type="noConversion"/>
  <pageMargins left="0.36000000000000004" right="0.36000000000000004" top="0.41000000000000009" bottom="0.41000000000000009" header="0.5" footer="0.5"/>
  <pageSetup paperSize="9" scale="75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Роман</cp:lastModifiedBy>
  <cp:lastPrinted>2014-11-21T09:25:18Z</cp:lastPrinted>
  <dcterms:created xsi:type="dcterms:W3CDTF">2014-10-20T11:27:17Z</dcterms:created>
  <dcterms:modified xsi:type="dcterms:W3CDTF">2024-11-20T10:53:30Z</dcterms:modified>
</cp:coreProperties>
</file>